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<sst xmlns="http://schemas.openxmlformats.org/spreadsheetml/2006/main" count="168" uniqueCount="113">
  <si>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</si>
  <si>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</si>
  <si>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</si>
  <si>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</si>
  <si>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</si>
  <si>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</si>
  <si>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</si>
  <si>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</si>
  <si>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</si>
  <si>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</si>
  <si>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</si>
  <si>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</si>
  <si>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</si>
  <si>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</si>
  <si>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</si>
  <si>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</si>
  <si>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</si>
  <si>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</si>
  <si>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</si>
  <si>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</si>
  <si>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</si>
  <si>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</si>
  <si>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</si>
  <si>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</si>
  <si>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</si>
  <si>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</si>
  <si>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</si>
  <si>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</si>
  <si>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</si>
  <si>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</si>
  <si>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</si>
  <si>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</si>
  <si>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</si>
  <si>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</si>
  <si>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</si>
  <si>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</si>
  <si>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</si>
  <si>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</si>
  <si>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</si>
  <si>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</si>
  <si>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</si>
  <si>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</si>
  <si>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</si>
  <si>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</si>
  <si>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</si>
  <si>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</si>
  <si>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</si>
  <si>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</si>
  <si>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</si>
  <si>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</si>
  <si>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</si>
  <si>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</si>
  <si>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</si>
  <si>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</si>
  <si>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</si>
  <si>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</si>
  <si>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</si>
  <si>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</si>
  <si>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</si>
  <si>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</si>
  <si>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</si>
  <si>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</si>
  <si>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</si>
  <si>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</si>
  <si>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</si>
  <si>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</si>
  <si>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</si>
  <si>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</si>
  <si>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</si>
  <si>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</si>
  <si>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</si>
  <si>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</si>
  <si>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</si>
  <si>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</si>
  <si>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</si>
  <si>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</si>
  <si>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</si>
  <si>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</si>
  <si>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</si>
  <si>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</si>
  <si>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</si>
  <si>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</si>
  <si>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</si>
  <si>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</si>
  <si>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</si>
  <si>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</si>
  <si>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</si>
  <si>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</si>
  <si>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</si>
  <si>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</si>
  <si>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</si>
  <si>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</si>
  <si>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</si>
  <si>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</si>
  <si>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</si>
  <si>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</si>
  <si>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</si>
  <si>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</si>
  <si>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</si>
  <si>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</si>
  <si>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</si>
  <si>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</si>
  <si>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</si>
  <si>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</si>
  <si>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</si>
  <si>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</si>
  <si>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</si>
  <si>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</si>
  <si>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</si>
  <si>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Відсоток виконання  плану 8 місяців</t>
  </si>
  <si>
    <t>План на 9 місяців тис.грн.</t>
  </si>
  <si>
    <t>Відхилення від  плану 9 місяців, тис.грн.</t>
  </si>
  <si>
    <t>Аналіз використання коштів загального фонду міського бюджету станом на 24.09.2019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</si>
</sst>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218180.4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151191.89999999997</c:v>
                </c:pt>
              </c:numCache>
            </c:numRef>
          </c:val>
          <c:shape val="box"/>
        </c:ser>
        <c:shape val="box"/>
        <c:axId val="63131463"/>
        <c:axId val="31312256"/>
      </c:bar3DChart>
      <c:catAx>
        <c:axId val="63131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12256"/>
        <c:crosses val="autoZero"/>
        <c:auto val="1"/>
        <c:lblOffset val="100"/>
        <c:tickLblSkip val="1"/>
        <c:noMultiLvlLbl val="0"/>
      </c:catAx>
      <c:valAx>
        <c:axId val="31312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1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922539.7999999999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612874.0000000003</c:v>
                </c:pt>
              </c:numCache>
            </c:numRef>
          </c:val>
          <c:shape val="box"/>
        </c:ser>
        <c:shape val="box"/>
        <c:axId val="13374849"/>
        <c:axId val="53264778"/>
      </c:bar3DChart>
      <c:catAx>
        <c:axId val="13374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64778"/>
        <c:crosses val="autoZero"/>
        <c:auto val="1"/>
        <c:lblOffset val="100"/>
        <c:tickLblSkip val="1"/>
        <c:noMultiLvlLbl val="0"/>
      </c:catAx>
      <c:valAx>
        <c:axId val="53264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4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415126.1000000001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293286.9369999999</c:v>
                </c:pt>
              </c:numCache>
            </c:numRef>
          </c:val>
          <c:shape val="box"/>
        </c:ser>
        <c:shape val="box"/>
        <c:axId val="9620955"/>
        <c:axId val="19479732"/>
      </c:bar3DChart>
      <c:catAx>
        <c:axId val="962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79732"/>
        <c:crosses val="autoZero"/>
        <c:auto val="1"/>
        <c:lblOffset val="100"/>
        <c:tickLblSkip val="1"/>
        <c:noMultiLvlLbl val="0"/>
      </c:catAx>
      <c:valAx>
        <c:axId val="19479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0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18255.699999999997</c:v>
                </c:pt>
              </c:numCache>
            </c:numRef>
          </c:val>
          <c:shape val="box"/>
        </c:ser>
        <c:shape val="box"/>
        <c:axId val="41099861"/>
        <c:axId val="34354430"/>
      </c:bar3D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54430"/>
        <c:crosses val="autoZero"/>
        <c:auto val="1"/>
        <c:lblOffset val="100"/>
        <c:tickLblSkip val="1"/>
        <c:noMultiLvlLbl val="0"/>
      </c:catAx>
      <c:valAx>
        <c:axId val="34354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98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51832.100000000006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29167.800000000007</c:v>
                </c:pt>
              </c:numCache>
            </c:numRef>
          </c:val>
          <c:shape val="box"/>
        </c:ser>
        <c:shape val="box"/>
        <c:axId val="40754415"/>
        <c:axId val="31245416"/>
      </c:bar3DChart>
      <c:catAx>
        <c:axId val="4075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45416"/>
        <c:crosses val="autoZero"/>
        <c:auto val="1"/>
        <c:lblOffset val="100"/>
        <c:tickLblSkip val="2"/>
        <c:noMultiLvlLbl val="0"/>
      </c:catAx>
      <c:valAx>
        <c:axId val="31245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4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7301.599999999998</c:v>
                </c:pt>
              </c:numCache>
            </c:numRef>
          </c:val>
          <c:shape val="box"/>
        </c:ser>
        <c:shape val="box"/>
        <c:axId val="12773289"/>
        <c:axId val="47850738"/>
      </c:bar3DChart>
      <c:catAx>
        <c:axId val="1277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50738"/>
        <c:crosses val="autoZero"/>
        <c:auto val="1"/>
        <c:lblOffset val="100"/>
        <c:tickLblSkip val="1"/>
        <c:noMultiLvlLbl val="0"/>
      </c:catAx>
      <c:valAx>
        <c:axId val="47850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32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134260.5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74830.8</c:v>
                </c:pt>
              </c:numCache>
            </c:numRef>
          </c:val>
          <c:shape val="box"/>
        </c:ser>
        <c:shape val="box"/>
        <c:axId val="28003459"/>
        <c:axId val="50704540"/>
      </c:bar3D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704540"/>
        <c:crosses val="autoZero"/>
        <c:auto val="1"/>
        <c:lblOffset val="100"/>
        <c:tickLblSkip val="1"/>
        <c:noMultiLvlLbl val="0"/>
      </c:catAx>
      <c:valAx>
        <c:axId val="50704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3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922539.7999999999</c:v>
                </c:pt>
                <c:pt idx="1">
                  <c:v>415126.1000000001</c:v>
                </c:pt>
                <c:pt idx="2">
                  <c:v>27234</c:v>
                </c:pt>
                <c:pt idx="3">
                  <c:v>51832.100000000006</c:v>
                </c:pt>
                <c:pt idx="4">
                  <c:v>8853.9</c:v>
                </c:pt>
                <c:pt idx="5">
                  <c:v>218180.4</c:v>
                </c:pt>
                <c:pt idx="6">
                  <c:v>134260.5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612874.0000000003</c:v>
                </c:pt>
                <c:pt idx="1">
                  <c:v>293286.9369999999</c:v>
                </c:pt>
                <c:pt idx="2">
                  <c:v>18255.699999999997</c:v>
                </c:pt>
                <c:pt idx="3">
                  <c:v>29167.800000000007</c:v>
                </c:pt>
                <c:pt idx="4">
                  <c:v>7301.599999999998</c:v>
                </c:pt>
                <c:pt idx="5">
                  <c:v>151191.89999999997</c:v>
                </c:pt>
                <c:pt idx="6">
                  <c:v>74830.8</c:v>
                </c:pt>
              </c:numCache>
            </c:numRef>
          </c:val>
          <c:shape val="box"/>
        </c:ser>
        <c:shape val="box"/>
        <c:axId val="53687677"/>
        <c:axId val="13427046"/>
      </c:bar3D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27046"/>
        <c:crosses val="autoZero"/>
        <c:auto val="1"/>
        <c:lblOffset val="100"/>
        <c:tickLblSkip val="1"/>
        <c:noMultiLvlLbl val="0"/>
      </c:catAx>
      <c:valAx>
        <c:axId val="13427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87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996771.1</c:v>
                </c:pt>
                <c:pt idx="1">
                  <c:v>125275.7</c:v>
                </c:pt>
                <c:pt idx="2">
                  <c:v>48026.600000000006</c:v>
                </c:pt>
                <c:pt idx="3">
                  <c:v>87271.40000000002</c:v>
                </c:pt>
                <c:pt idx="4">
                  <c:v>122.9</c:v>
                </c:pt>
                <c:pt idx="5">
                  <c:v>1250515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691321.9</c:v>
                </c:pt>
                <c:pt idx="1">
                  <c:v>66291.39999999995</c:v>
                </c:pt>
                <c:pt idx="2">
                  <c:v>31623.600000000006</c:v>
                </c:pt>
                <c:pt idx="3">
                  <c:v>56490.460000000014</c:v>
                </c:pt>
                <c:pt idx="4">
                  <c:v>48.79999999999999</c:v>
                </c:pt>
                <c:pt idx="5">
                  <c:v>847855.5967900003</c:v>
                </c:pt>
              </c:numCache>
            </c:numRef>
          </c:val>
          <c:shape val="box"/>
        </c:ser>
        <c:shape val="box"/>
        <c:axId val="53734551"/>
        <c:axId val="13848912"/>
      </c:bar3D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48912"/>
        <c:crosses val="autoZero"/>
        <c:auto val="1"/>
        <c:lblOffset val="100"/>
        <c:tickLblSkip val="1"/>
        <c:noMultiLvlLbl val="0"/>
      </c:catAx>
      <c:valAx>
        <c:axId val="13848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34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E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3" sqref="D153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110</v>
      </c>
      <c r="C3" s="174" t="s">
        <v>103</v>
      </c>
      <c r="D3" s="174" t="s">
        <v>20</v>
      </c>
      <c r="E3" s="174" t="s">
        <v>19</v>
      </c>
      <c r="F3" s="174" t="s">
        <v>109</v>
      </c>
      <c r="G3" s="174" t="s">
        <v>105</v>
      </c>
      <c r="H3" s="174" t="s">
        <v>111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688487.6+135+30.3</f>
        <v>688652.9</v>
      </c>
      <c r="C6" s="35">
        <f>913995.7+3.2+21.3+6054.6-0.1+7.6+51.9+2.3+1801.7+431.6+35+135</f>
        <v>922539.7999999999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+63-121.7+44.9+4.5+0.3+47.9+57+37+647.1+564.9+2.5+240.8+546.3+13358.9+10402.7+206.6+1361+30.8+53+1+54.4+1058.8+20.1+2063.9</f>
        <v>612874.0000000003</v>
      </c>
      <c r="E6" s="3">
        <f>D6/D156*100</f>
        <v>36.18696907063209</v>
      </c>
      <c r="F6" s="3">
        <f>D6/B6*100</f>
        <v>88.99606753997556</v>
      </c>
      <c r="G6" s="3">
        <f aca="true" t="shared" si="0" ref="G6:G43">D6/C6*100</f>
        <v>66.43333978653283</v>
      </c>
      <c r="H6" s="36">
        <f aca="true" t="shared" si="1" ref="H6:H12">B6-D6</f>
        <v>75778.89999999967</v>
      </c>
      <c r="I6" s="36">
        <f aca="true" t="shared" si="2" ref="I6:I43">C6-D6</f>
        <v>309665.7999999996</v>
      </c>
      <c r="J6" s="128"/>
      <c r="L6" s="129">
        <f>H6-H7</f>
        <v>59051.2999999997</v>
      </c>
    </row>
    <row r="7" spans="1:9" s="83" customFormat="1" ht="18.75">
      <c r="A7" s="118" t="s">
        <v>79</v>
      </c>
      <c r="B7" s="69">
        <v>229640.1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12060.7+9623.1+1044.7+273.5+10510.2+12398.6+40.7+10550.7+12514+8.7+10597.9+12396.7+14.3-11.2+14.3+10532.6+25726.8+2302.2+41728.4+13.4+10871.6+847.7+4031.4+88.2+671.5+0.1+764+2964.3+9928.2+2.5+10402.7</f>
        <v>212912.50000000003</v>
      </c>
      <c r="E7" s="120">
        <f>D7/D6*100</f>
        <v>34.74001181319487</v>
      </c>
      <c r="F7" s="120">
        <f>D7/B7*100</f>
        <v>92.71573213911682</v>
      </c>
      <c r="G7" s="120">
        <f>D7/C7*100</f>
        <v>71.21786436552924</v>
      </c>
      <c r="H7" s="119">
        <f t="shared" si="1"/>
        <v>16727.599999999977</v>
      </c>
      <c r="I7" s="119">
        <f t="shared" si="2"/>
        <v>86046.9</v>
      </c>
    </row>
    <row r="8" spans="1:9" s="128" customFormat="1" ht="18">
      <c r="A8" s="88" t="s">
        <v>3</v>
      </c>
      <c r="B8" s="31">
        <v>554794</v>
      </c>
      <c r="C8" s="32">
        <f>726684.4+3.2+2754.6+431.6</f>
        <v>729873.7999999999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+47.9+57+2.5+12639.1+10402.7+250.6-45.1</f>
        <v>505803.6000000001</v>
      </c>
      <c r="E8" s="92">
        <f>D8/D6*100</f>
        <v>82.52978589400102</v>
      </c>
      <c r="F8" s="92">
        <f>D8/B8*100</f>
        <v>91.16962331964659</v>
      </c>
      <c r="G8" s="92">
        <f t="shared" si="0"/>
        <v>69.3001447647525</v>
      </c>
      <c r="H8" s="90">
        <f t="shared" si="1"/>
        <v>48990.39999999991</v>
      </c>
      <c r="I8" s="90">
        <f t="shared" si="2"/>
        <v>224070.19999999984</v>
      </c>
    </row>
    <row r="9" spans="1:9" s="128" customFormat="1" ht="18">
      <c r="A9" s="88" t="s">
        <v>2</v>
      </c>
      <c r="B9" s="31">
        <v>74</v>
      </c>
      <c r="C9" s="32">
        <v>104.9</v>
      </c>
      <c r="D9" s="33">
        <f>16.3+0.9+0.3+8.7+9.7+0.3+0.4+0.4+0.1+0.5+10.3</f>
        <v>47.89999999999999</v>
      </c>
      <c r="E9" s="109">
        <f>D9/D6*100</f>
        <v>0.007815635840319538</v>
      </c>
      <c r="F9" s="92">
        <f>D9/B9*100</f>
        <v>64.72972972972973</v>
      </c>
      <c r="G9" s="92">
        <f t="shared" si="0"/>
        <v>45.662535748331734</v>
      </c>
      <c r="H9" s="90">
        <f t="shared" si="1"/>
        <v>26.10000000000001</v>
      </c>
      <c r="I9" s="90">
        <f t="shared" si="2"/>
        <v>57.000000000000014</v>
      </c>
    </row>
    <row r="10" spans="1:9" s="128" customFormat="1" ht="18">
      <c r="A10" s="88" t="s">
        <v>1</v>
      </c>
      <c r="B10" s="31">
        <f>32698.8+85</f>
        <v>32783.8</v>
      </c>
      <c r="C10" s="32">
        <f>43439.8+85</f>
        <v>43524.8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+320.1+380.9+341.7+605.7+0.7+549.5-0.1+26.9+561.5+278.6</f>
        <v>29273.500000000004</v>
      </c>
      <c r="E10" s="92">
        <f>D10/D6*100</f>
        <v>4.776430391891316</v>
      </c>
      <c r="F10" s="92">
        <f aca="true" t="shared" si="3" ref="F10:F41">D10/B10*100</f>
        <v>89.29257743153632</v>
      </c>
      <c r="G10" s="92">
        <f t="shared" si="0"/>
        <v>67.25705804506856</v>
      </c>
      <c r="H10" s="90">
        <f t="shared" si="1"/>
        <v>3510.2999999999993</v>
      </c>
      <c r="I10" s="90">
        <f t="shared" si="2"/>
        <v>14251.3</v>
      </c>
    </row>
    <row r="11" spans="1:9" s="128" customFormat="1" ht="18">
      <c r="A11" s="88" t="s">
        <v>0</v>
      </c>
      <c r="B11" s="31">
        <v>61978.5</v>
      </c>
      <c r="C11" s="32">
        <f>98224.3+33+0.3+15</f>
        <v>98272.6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+36.3+4.5+22.3+257.6+116+1.3+192.5+40.7+11.4+69.7+4.6+2.5+2.4+6.2+0.1+42.4</f>
        <v>51086.09999999996</v>
      </c>
      <c r="E11" s="92">
        <f>D11/D6*100</f>
        <v>8.335497997957155</v>
      </c>
      <c r="F11" s="92">
        <f t="shared" si="3"/>
        <v>82.42551852658578</v>
      </c>
      <c r="G11" s="92">
        <f t="shared" si="0"/>
        <v>51.984072874839946</v>
      </c>
      <c r="H11" s="90">
        <f t="shared" si="1"/>
        <v>10892.400000000038</v>
      </c>
      <c r="I11" s="90">
        <f t="shared" si="2"/>
        <v>47186.500000000044</v>
      </c>
    </row>
    <row r="12" spans="1:9" s="128" customFormat="1" ht="18">
      <c r="A12" s="88" t="s">
        <v>12</v>
      </c>
      <c r="B12" s="31">
        <v>9619.4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134.7+863.6+21+169+134.3+503.1+242.3+376.7+419.7+11.5+196.3+194.7+350.5+128.8+306+205.9+21+475.1+46.1+265+1+11.5+502+21+253.6+228.1+113.2+114.8+47.7+65.2+24.1+347.4-0.1+12+0.1+64.7+236.2+116+84.5+60.2+75.4+77.4+19.1+75.4+525.9</f>
        <v>8141.699999999999</v>
      </c>
      <c r="E12" s="92">
        <f>D12/D6*100</f>
        <v>1.3284459774766093</v>
      </c>
      <c r="F12" s="92">
        <f t="shared" si="3"/>
        <v>84.63833503129092</v>
      </c>
      <c r="G12" s="92">
        <f t="shared" si="0"/>
        <v>62.67908695484814</v>
      </c>
      <c r="H12" s="90">
        <f t="shared" si="1"/>
        <v>1477.7000000000007</v>
      </c>
      <c r="I12" s="90">
        <f t="shared" si="2"/>
        <v>4847.800000000001</v>
      </c>
    </row>
    <row r="13" spans="1:9" s="128" customFormat="1" ht="18.75" thickBot="1">
      <c r="A13" s="88" t="s">
        <v>25</v>
      </c>
      <c r="B13" s="32">
        <f>B6-B8-B9-B10-B11-B12</f>
        <v>29403.20000000002</v>
      </c>
      <c r="C13" s="32">
        <f>C6-C8-C9-C10-C11-C12</f>
        <v>37774.19999999998</v>
      </c>
      <c r="D13" s="32">
        <f>D6-D8-D9-D10-D11-D12</f>
        <v>18521.200000000303</v>
      </c>
      <c r="E13" s="92">
        <f>D13/D6*100</f>
        <v>3.022024102833583</v>
      </c>
      <c r="F13" s="92">
        <f t="shared" si="3"/>
        <v>62.990422811123594</v>
      </c>
      <c r="G13" s="92">
        <f t="shared" si="0"/>
        <v>49.031349439565396</v>
      </c>
      <c r="H13" s="90">
        <f aca="true" t="shared" si="4" ref="H13:H44">B13-D13</f>
        <v>10881.999999999716</v>
      </c>
      <c r="I13" s="90">
        <f t="shared" si="2"/>
        <v>19252.99999999968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314033.4-612.8-791.7+350.9-200</f>
        <v>312779.80000000005</v>
      </c>
      <c r="C18" s="35">
        <f>417020.2+71.9+897.7-0.1-33.9+680.4+0.2-180-612.8-3068.4+350.9</f>
        <v>415126.1000000001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+14.8+123.4+0.5+385.7+367.3+533.1+8027.9+85.8+1710.8+5.5+762.3+1210.8+4.1+9.1+5669.7+4146.5+4307.4+1116.4</f>
        <v>293286.9369999999</v>
      </c>
      <c r="E18" s="3">
        <f>D18/D156*100</f>
        <v>17.317042847370608</v>
      </c>
      <c r="F18" s="3">
        <f>D18/B18*100</f>
        <v>93.76786384542731</v>
      </c>
      <c r="G18" s="3">
        <f t="shared" si="0"/>
        <v>70.65008367337053</v>
      </c>
      <c r="H18" s="149">
        <f t="shared" si="4"/>
        <v>19492.86300000013</v>
      </c>
      <c r="I18" s="36">
        <f t="shared" si="2"/>
        <v>121839.16300000018</v>
      </c>
      <c r="J18" s="128"/>
      <c r="L18" s="129">
        <f>H18-H19</f>
        <v>17946.300000000076</v>
      </c>
    </row>
    <row r="19" spans="1:9" s="83" customFormat="1" ht="18.75">
      <c r="A19" s="118" t="s">
        <v>80</v>
      </c>
      <c r="B19" s="69">
        <v>153942.3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+874.1+123.4+0.5+367.3+92.3+1710.8+8027.9+1210.8+4.1+4146.5</f>
        <v>152395.73699999994</v>
      </c>
      <c r="E19" s="120">
        <f>D19/D18*100</f>
        <v>51.96131084419896</v>
      </c>
      <c r="F19" s="120">
        <f t="shared" si="3"/>
        <v>98.99536189858145</v>
      </c>
      <c r="G19" s="120">
        <f t="shared" si="0"/>
        <v>74.21047487754194</v>
      </c>
      <c r="H19" s="119">
        <f t="shared" si="4"/>
        <v>1546.5630000000529</v>
      </c>
      <c r="I19" s="119">
        <f t="shared" si="2"/>
        <v>52960.3630000001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769.2</v>
      </c>
      <c r="C24" s="32">
        <v>999.4</v>
      </c>
      <c r="D24" s="33">
        <f>199.2+100.3+88.2+109-0.1+47.3</f>
        <v>543.9</v>
      </c>
      <c r="E24" s="92">
        <f>D24/D18*100</f>
        <v>0.18544978701182321</v>
      </c>
      <c r="F24" s="92">
        <f t="shared" si="3"/>
        <v>70.70982839313572</v>
      </c>
      <c r="G24" s="92">
        <f t="shared" si="0"/>
        <v>54.42265359215529</v>
      </c>
      <c r="H24" s="90">
        <f t="shared" si="4"/>
        <v>225.30000000000007</v>
      </c>
      <c r="I24" s="90">
        <f t="shared" si="2"/>
        <v>455.5</v>
      </c>
    </row>
    <row r="25" spans="1:9" s="128" customFormat="1" ht="18.75" thickBot="1">
      <c r="A25" s="88" t="s">
        <v>25</v>
      </c>
      <c r="B25" s="32">
        <f>B18-B24</f>
        <v>312010.60000000003</v>
      </c>
      <c r="C25" s="32">
        <f>C18-C24</f>
        <v>414126.70000000007</v>
      </c>
      <c r="D25" s="32">
        <f>D18-D24</f>
        <v>292743.0369999999</v>
      </c>
      <c r="E25" s="92">
        <f>D25/D18*100</f>
        <v>99.81455021298817</v>
      </c>
      <c r="F25" s="92">
        <f t="shared" si="3"/>
        <v>93.82470884002014</v>
      </c>
      <c r="G25" s="92">
        <f t="shared" si="0"/>
        <v>70.68924486153631</v>
      </c>
      <c r="H25" s="90">
        <f t="shared" si="4"/>
        <v>19267.56300000014</v>
      </c>
      <c r="I25" s="90">
        <f t="shared" si="2"/>
        <v>121383.66300000018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v>20586.4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+162+7.1-0.1+24.5+239.8+95.9+163.5+21.4+306.6+20.3+11.9+220.1+62.5+673.1+82</f>
        <v>18255.699999999997</v>
      </c>
      <c r="E33" s="3">
        <f>D33/D156*100</f>
        <v>1.0779025562558338</v>
      </c>
      <c r="F33" s="3">
        <f>D33/B33*100</f>
        <v>88.6784479073563</v>
      </c>
      <c r="G33" s="148">
        <f t="shared" si="0"/>
        <v>67.03275317617683</v>
      </c>
      <c r="H33" s="149">
        <f t="shared" si="4"/>
        <v>2330.7000000000044</v>
      </c>
      <c r="I33" s="36">
        <f t="shared" si="2"/>
        <v>8978.300000000003</v>
      </c>
      <c r="J33" s="128"/>
    </row>
    <row r="34" spans="1:9" s="128" customFormat="1" ht="18">
      <c r="A34" s="88" t="s">
        <v>3</v>
      </c>
      <c r="B34" s="31">
        <f>10890.8+21</f>
        <v>10911.8</v>
      </c>
      <c r="C34" s="32">
        <f>14255.8+21</f>
        <v>14276.8</v>
      </c>
      <c r="D34" s="33">
        <f>95.5+254.3+520.9+145.6+77.4+290.2+14+629.4+494.6+11.4+607.6+26.4+384.9+103.2+27.1+151.5+461.6+16.4+14.3-0.2+100.6+400.5+180.4+615.1+100.6+396.6-0.2+1.8+800.9+4.3+120.7+413.3+43-0.1+786.7+17.9+0.2+81.8+304.4+80.3+581.7+14.2-0.1+12.8+100.6+306.6+1.9+11.9+0.1+80.3</f>
        <v>9884.9</v>
      </c>
      <c r="E34" s="92">
        <f>D34/D33*100</f>
        <v>54.1469239744299</v>
      </c>
      <c r="F34" s="92">
        <f t="shared" si="3"/>
        <v>90.58908704338423</v>
      </c>
      <c r="G34" s="92">
        <f t="shared" si="0"/>
        <v>69.23750420262243</v>
      </c>
      <c r="H34" s="90">
        <f t="shared" si="4"/>
        <v>1026.8999999999996</v>
      </c>
      <c r="I34" s="90">
        <f t="shared" si="2"/>
        <v>4391.9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0.29853689532584343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v>1225.2</v>
      </c>
      <c r="C36" s="32">
        <f>2087.8+0.3</f>
        <v>2088.1000000000004</v>
      </c>
      <c r="D36" s="33">
        <f>1.1+273.8+98.4+76.8+0.5+2.1+0.3+6.6+52.2+342.8+0.4+3.3+12.2+25.8+7.1+2.1+70+0.1+0.7+1.9+15.3+8.2+0.2+4.2+0.1+8.5</f>
        <v>1014.7000000000003</v>
      </c>
      <c r="E36" s="92">
        <f>D36/D33*100</f>
        <v>5.55826399425933</v>
      </c>
      <c r="F36" s="92">
        <f t="shared" si="3"/>
        <v>82.81913157035588</v>
      </c>
      <c r="G36" s="92">
        <f t="shared" si="0"/>
        <v>48.59441597624635</v>
      </c>
      <c r="H36" s="90">
        <f t="shared" si="4"/>
        <v>210.49999999999977</v>
      </c>
      <c r="I36" s="90">
        <f t="shared" si="2"/>
        <v>1073.4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1.3809385561769754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0.5132643503125052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7765.800000000001</v>
      </c>
      <c r="C39" s="31">
        <f>C33-C34-C36-C37-C35-C38</f>
        <v>9527.5</v>
      </c>
      <c r="D39" s="31">
        <f>D33-D34-D36-D37-D35-D38</f>
        <v>6955.7999999999965</v>
      </c>
      <c r="E39" s="92">
        <f>D39/D33*100</f>
        <v>38.102072229495434</v>
      </c>
      <c r="F39" s="92">
        <f t="shared" si="3"/>
        <v>89.56965154909983</v>
      </c>
      <c r="G39" s="92">
        <f t="shared" si="0"/>
        <v>73.00760955129884</v>
      </c>
      <c r="H39" s="90">
        <f t="shared" si="4"/>
        <v>810.0000000000045</v>
      </c>
      <c r="I39" s="90">
        <f t="shared" si="2"/>
        <v>2571.7000000000035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v>776.5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18+9.7+7.2+11.6+18.4+18.7+25.1+13.5+2.2+2+16.6+22.9+12+21+7.7+15.6+10+15+10+0.1+10.1+18.6+9+50.3+7+2+8+16.2+27.7+2+2+2+5.5+4+20.4+5+2+2-0.1+2+17.1+4+0.7+3+24.5+7+23.8</f>
        <v>533.1</v>
      </c>
      <c r="E43" s="3">
        <f>D43/D156*100</f>
        <v>0.03147673618321867</v>
      </c>
      <c r="F43" s="3">
        <f>D43/B43*100</f>
        <v>68.65421764327108</v>
      </c>
      <c r="G43" s="3">
        <f t="shared" si="0"/>
        <v>54.39240893786348</v>
      </c>
      <c r="H43" s="149">
        <f t="shared" si="4"/>
        <v>243.39999999999998</v>
      </c>
      <c r="I43" s="36">
        <f t="shared" si="2"/>
        <v>447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v>12548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346.4+682.6-0.1+14.1+556.7+0.1+721.1+127.1+71.4+15.4+390.3+13.9+56.1+905.8+4.8+61.3+2.9+439.8+0.3+42+847.9+8.3+402.3+0.1+20.1+0.2+4.4+30.8+63.8+859.4+10.5+475.1+926.2+39.3+521.9+15.3+8.4-0.1+811.6+15.6+419+721.3+14.3+443.2</f>
        <v>11110.9</v>
      </c>
      <c r="E46" s="3">
        <f>D46/D156*100</f>
        <v>0.6560398950630731</v>
      </c>
      <c r="F46" s="3">
        <f>D46/B46*100</f>
        <v>88.5471788332802</v>
      </c>
      <c r="G46" s="3">
        <f aca="true" t="shared" si="5" ref="G46:G78">D46/C46*100</f>
        <v>65.74185837356814</v>
      </c>
      <c r="H46" s="36">
        <f>B46-D46</f>
        <v>1437.1000000000004</v>
      </c>
      <c r="I46" s="36">
        <f aca="true" t="shared" si="6" ref="I46:I79">C46-D46</f>
        <v>5789.899999999996</v>
      </c>
      <c r="J46" s="128"/>
      <c r="K46" s="128"/>
    </row>
    <row r="47" spans="1:9" s="128" customFormat="1" ht="18">
      <c r="A47" s="88" t="s">
        <v>3</v>
      </c>
      <c r="B47" s="31">
        <v>11378.3</v>
      </c>
      <c r="C47" s="108">
        <v>15270.9</v>
      </c>
      <c r="D47" s="90">
        <f>332.5+633.1+14.1+510.1+691.2+14.1+377.2-0.1+896.5+425+839.9+7+383.6+0.2+7+859.2+449.3+922.6+495.5+806.4+418.5+708+416.6</f>
        <v>10207.5</v>
      </c>
      <c r="E47" s="92">
        <f>D47/D46*100</f>
        <v>91.8692455156648</v>
      </c>
      <c r="F47" s="92">
        <f aca="true" t="shared" si="7" ref="F47:F76">D47/B47*100</f>
        <v>89.71023790900223</v>
      </c>
      <c r="G47" s="92">
        <f t="shared" si="5"/>
        <v>66.8428186943795</v>
      </c>
      <c r="H47" s="90">
        <f aca="true" t="shared" si="8" ref="H47:H76">B47-D47</f>
        <v>1170.7999999999993</v>
      </c>
      <c r="I47" s="90">
        <f t="shared" si="6"/>
        <v>5063.4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0.008100153902924156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0.5148097813858464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f>722.2-10</f>
        <v>712.2</v>
      </c>
      <c r="C50" s="108">
        <f>998.4-10</f>
        <v>988.4</v>
      </c>
      <c r="D50" s="90">
        <f>13.9+43.7+37.9+3.3+112.6+65.7+2.1+15.6+56.1+2.7+37.7+0.1+42+5.3+1.3+11.6+20.1+0.2+56.8+3.9+4+8.4+3+1.7+1.8</f>
        <v>551.5</v>
      </c>
      <c r="E50" s="92">
        <f>D50/D46*100</f>
        <v>4.963594308291857</v>
      </c>
      <c r="F50" s="92">
        <f t="shared" si="7"/>
        <v>77.43611345127772</v>
      </c>
      <c r="G50" s="92">
        <f t="shared" si="5"/>
        <v>55.79724807770133</v>
      </c>
      <c r="H50" s="90">
        <f t="shared" si="8"/>
        <v>160.70000000000005</v>
      </c>
      <c r="I50" s="90">
        <f t="shared" si="6"/>
        <v>436.9</v>
      </c>
    </row>
    <row r="51" spans="1:9" s="128" customFormat="1" ht="18.75" thickBot="1">
      <c r="A51" s="88" t="s">
        <v>25</v>
      </c>
      <c r="B51" s="32">
        <f>B46-B47-B50-B49-B48</f>
        <v>394.2000000000007</v>
      </c>
      <c r="C51" s="108">
        <f>C46-C47-C50-C49-C48</f>
        <v>533.599999999996</v>
      </c>
      <c r="D51" s="108">
        <f>D46-D47-D50-D49-D48</f>
        <v>293.79999999999967</v>
      </c>
      <c r="E51" s="92">
        <f>D51/D46*100</f>
        <v>2.6442502407545714</v>
      </c>
      <c r="F51" s="92">
        <f t="shared" si="7"/>
        <v>74.53069507864006</v>
      </c>
      <c r="G51" s="92">
        <f t="shared" si="5"/>
        <v>55.05997001499286</v>
      </c>
      <c r="H51" s="90">
        <f t="shared" si="8"/>
        <v>100.40000000000106</v>
      </c>
      <c r="I51" s="90">
        <f t="shared" si="6"/>
        <v>239.79999999999637</v>
      </c>
    </row>
    <row r="52" spans="1:10" ht="18.75" thickBot="1">
      <c r="A52" s="18" t="s">
        <v>4</v>
      </c>
      <c r="B52" s="34">
        <f>39511.6-221.7</f>
        <v>39289.9</v>
      </c>
      <c r="C52" s="35">
        <f>54626.8-33-1640-1100-400-221.7+600</f>
        <v>51832.100000000006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+99.6-0.1+13.5+204.5+170.1+217.2+603.8+0.2+19.6+9.7</f>
        <v>29167.800000000007</v>
      </c>
      <c r="E52" s="3">
        <f>D52/D156*100</f>
        <v>1.7222043624927512</v>
      </c>
      <c r="F52" s="3">
        <f>D52/B52*100</f>
        <v>74.23739943344219</v>
      </c>
      <c r="G52" s="3">
        <f t="shared" si="5"/>
        <v>56.27362194470222</v>
      </c>
      <c r="H52" s="36">
        <f>B52-D52</f>
        <v>10122.099999999995</v>
      </c>
      <c r="I52" s="36">
        <f t="shared" si="6"/>
        <v>22664.3</v>
      </c>
      <c r="J52" s="128"/>
    </row>
    <row r="53" spans="1:9" s="128" customFormat="1" ht="18">
      <c r="A53" s="88" t="s">
        <v>3</v>
      </c>
      <c r="B53" s="31">
        <v>20157.4</v>
      </c>
      <c r="C53" s="32">
        <v>25959.9</v>
      </c>
      <c r="D53" s="33">
        <f>721.7+980.4+865.2+984.4+270.7+792.3+9.9+66.7+1210.9+835.2+313.7+945.1+17.3+739.5+1432.2+7.4+1036.6-0.2+2347.5+193+703.6+685.6+56.7+0.1+432.5+932.1-0.1+170.1+602.1+0.2+0.2</f>
        <v>17352.600000000002</v>
      </c>
      <c r="E53" s="92">
        <f>D53/D52*100</f>
        <v>59.49231686997305</v>
      </c>
      <c r="F53" s="92">
        <f t="shared" si="7"/>
        <v>86.0855070594422</v>
      </c>
      <c r="G53" s="92">
        <f t="shared" si="5"/>
        <v>66.84386303491155</v>
      </c>
      <c r="H53" s="90">
        <f t="shared" si="8"/>
        <v>2804.7999999999993</v>
      </c>
      <c r="I53" s="90">
        <f t="shared" si="6"/>
        <v>8607.3</v>
      </c>
    </row>
    <row r="54" spans="1:9" s="128" customFormat="1" ht="18">
      <c r="A54" s="88" t="s">
        <v>2</v>
      </c>
      <c r="B54" s="31">
        <v>6.2</v>
      </c>
      <c r="C54" s="32">
        <v>16.4</v>
      </c>
      <c r="D54" s="33"/>
      <c r="E54" s="92">
        <f>D54/D52*100</f>
        <v>0</v>
      </c>
      <c r="F54" s="92">
        <f>D54/B54*100</f>
        <v>0</v>
      </c>
      <c r="G54" s="92">
        <f t="shared" si="5"/>
        <v>0</v>
      </c>
      <c r="H54" s="90">
        <f t="shared" si="8"/>
        <v>6.2</v>
      </c>
      <c r="I54" s="90">
        <f t="shared" si="6"/>
        <v>16.4</v>
      </c>
    </row>
    <row r="55" spans="1:9" s="128" customFormat="1" ht="18">
      <c r="A55" s="88" t="s">
        <v>1</v>
      </c>
      <c r="B55" s="31">
        <f>3178.7-140-9.8</f>
        <v>3028.8999999999996</v>
      </c>
      <c r="C55" s="32">
        <f>4332.1-250-15-140-6.1</f>
        <v>3921.0000000000005</v>
      </c>
      <c r="D55" s="33">
        <f>3.2+7.6+9.6+11.4+10.1+24.7+6.6+7.8+2.3+6.6+70.1+102.1+3.2+185.8+105+116.2+245+84+7.3+8.9+0.2+110.8+122.9-0.1+5.4+43.7+5.9+0.4+35.5+6.2+57+84.1+17.2+1.6+53.4+53+36.6+149.5+10.5+1.6-0.1+8.2</f>
        <v>1821.0000000000005</v>
      </c>
      <c r="E55" s="92">
        <f>D55/D52*100</f>
        <v>6.243185979059099</v>
      </c>
      <c r="F55" s="92">
        <f t="shared" si="7"/>
        <v>60.1208359470435</v>
      </c>
      <c r="G55" s="92">
        <f t="shared" si="5"/>
        <v>46.442234123947976</v>
      </c>
      <c r="H55" s="90">
        <f t="shared" si="8"/>
        <v>1207.8999999999992</v>
      </c>
      <c r="I55" s="90">
        <f t="shared" si="6"/>
        <v>2100</v>
      </c>
    </row>
    <row r="56" spans="1:9" s="128" customFormat="1" ht="18">
      <c r="A56" s="88" t="s">
        <v>0</v>
      </c>
      <c r="B56" s="31">
        <v>882.7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0.3+1.2+21.4+80.5+2.4+14.5+22.9+268+5.9+0.1+8.8+0.5+18.5+22.5+0.1+5.1+69.1+23+1.1+16.4+1+37.3+17.3+14.3+2.9+3.7+0.1+2.9+7.3+0.4+17.9+0.9-0.1+5.7+23.8-10.1+1.2+3.1+0.4+13.1+0.8+0.3</f>
        <v>726.4999999999998</v>
      </c>
      <c r="E56" s="92">
        <f>D56/D52*100</f>
        <v>2.490760359026048</v>
      </c>
      <c r="F56" s="92">
        <f t="shared" si="7"/>
        <v>82.30429364449981</v>
      </c>
      <c r="G56" s="92">
        <f t="shared" si="5"/>
        <v>51.470067304286204</v>
      </c>
      <c r="H56" s="90">
        <f t="shared" si="8"/>
        <v>156.20000000000027</v>
      </c>
      <c r="I56" s="90">
        <f t="shared" si="6"/>
        <v>685.0000000000002</v>
      </c>
    </row>
    <row r="57" spans="1:9" s="128" customFormat="1" ht="18">
      <c r="A57" s="88" t="s">
        <v>12</v>
      </c>
      <c r="B57" s="31">
        <v>2935.7</v>
      </c>
      <c r="C57" s="32">
        <f>4640-960+600</f>
        <v>4280</v>
      </c>
      <c r="D57" s="32">
        <f>227+242+245+245+245+245+245</f>
        <v>1694</v>
      </c>
      <c r="E57" s="92">
        <f>D57/D52*100</f>
        <v>5.807774326483313</v>
      </c>
      <c r="F57" s="92">
        <f>D57/B57*100</f>
        <v>57.70344381237865</v>
      </c>
      <c r="G57" s="92">
        <f>D57/C57*100</f>
        <v>39.57943925233645</v>
      </c>
      <c r="H57" s="90">
        <f t="shared" si="8"/>
        <v>1241.6999999999998</v>
      </c>
      <c r="I57" s="90">
        <f t="shared" si="6"/>
        <v>2586</v>
      </c>
    </row>
    <row r="58" spans="1:9" s="128" customFormat="1" ht="18.75" thickBot="1">
      <c r="A58" s="88" t="s">
        <v>25</v>
      </c>
      <c r="B58" s="32">
        <f>B52-B53-B56-B55-B54-B57</f>
        <v>12279</v>
      </c>
      <c r="C58" s="32">
        <f>C52-C53-C56-C55-C54-C57</f>
        <v>16243.300000000003</v>
      </c>
      <c r="D58" s="32">
        <f>D52-D53-D56-D55-D54-D57</f>
        <v>7573.700000000004</v>
      </c>
      <c r="E58" s="92">
        <f>D58/D52*100</f>
        <v>25.965962465458492</v>
      </c>
      <c r="F58" s="92">
        <f t="shared" si="7"/>
        <v>61.680104243016565</v>
      </c>
      <c r="G58" s="92">
        <f t="shared" si="5"/>
        <v>46.62660912499309</v>
      </c>
      <c r="H58" s="90">
        <f>B58-D58</f>
        <v>4705.299999999996</v>
      </c>
      <c r="I58" s="90">
        <f>C58-D58</f>
        <v>8669.599999999999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7717.6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80.6+106+88.7+4.1+0.3+50.7+49.2+44+180.6+100.8+125+0.6+0.8+205.4-0.2+30.8+60.6+59.8+0.5+2.3+86.2+133.9+48.6-0.1+49.5+49.3+61.5+235.8+7.3+105+495.2+130.9+134.1+450.8+421.5+647.3+146.2+976.5+7.7+0.1+100+1144.9+45.9+52.2+0.9+4.7+0.3+2.4+182.4+123+43.2+47.7+1.1+175</f>
        <v>7301.599999999998</v>
      </c>
      <c r="E60" s="3">
        <f>D60/D156*100</f>
        <v>0.43112087209789784</v>
      </c>
      <c r="F60" s="3">
        <f>D60/B60*100</f>
        <v>94.60972323001965</v>
      </c>
      <c r="G60" s="3">
        <f t="shared" si="5"/>
        <v>82.46761314223109</v>
      </c>
      <c r="H60" s="36">
        <f>B60-D60</f>
        <v>416.00000000000273</v>
      </c>
      <c r="I60" s="36">
        <f t="shared" si="6"/>
        <v>1552.300000000002</v>
      </c>
      <c r="J60" s="128"/>
    </row>
    <row r="61" spans="1:9" s="128" customFormat="1" ht="18">
      <c r="A61" s="88" t="s">
        <v>3</v>
      </c>
      <c r="B61" s="156">
        <v>2745.2</v>
      </c>
      <c r="C61" s="108">
        <v>3626.9</v>
      </c>
      <c r="D61" s="90">
        <f>80.6+106+88.7+4.1+50.7+38.1+180.6+95.6+203.1+54.2+59.8+86.2+109.7+0.1+49.5+34.4+208.9+102+130.9+94.1+121.3+0.1+99.9+81.5-0.1+45.9+52.2+180.8+33.5+47.7</f>
        <v>2440.1000000000004</v>
      </c>
      <c r="E61" s="92">
        <f>D61/D60*100</f>
        <v>33.41870275008219</v>
      </c>
      <c r="F61" s="92">
        <f t="shared" si="7"/>
        <v>88.88605566078976</v>
      </c>
      <c r="G61" s="92">
        <f t="shared" si="5"/>
        <v>67.27784058010975</v>
      </c>
      <c r="H61" s="90">
        <f t="shared" si="8"/>
        <v>305.09999999999945</v>
      </c>
      <c r="I61" s="90">
        <f t="shared" si="6"/>
        <v>1186.7999999999997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5.716555275556044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331.3</v>
      </c>
      <c r="C63" s="108">
        <v>475.3</v>
      </c>
      <c r="D63" s="90">
        <f>9.6+44+118.7+0.1+30.8+0.2+16.8+0.1+13.9+3.1+7+0.8+0.9+4.6+0.1+0.5+0.8+0.5</f>
        <v>252.50000000000003</v>
      </c>
      <c r="E63" s="92">
        <f>D63/D60*100</f>
        <v>3.4581461597458105</v>
      </c>
      <c r="F63" s="92">
        <f t="shared" si="7"/>
        <v>76.21491095683672</v>
      </c>
      <c r="G63" s="92">
        <f t="shared" si="5"/>
        <v>53.124342520513366</v>
      </c>
      <c r="H63" s="90">
        <f t="shared" si="8"/>
        <v>78.79999999999998</v>
      </c>
      <c r="I63" s="90">
        <f t="shared" si="6"/>
        <v>222.79999999999998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47.032157335378564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787.0000000000005</v>
      </c>
      <c r="C65" s="108">
        <f>C60-C61-C63-C64-C62</f>
        <v>897.5999999999999</v>
      </c>
      <c r="D65" s="108">
        <f>D60-D61-D63-D64-D62</f>
        <v>757.4999999999969</v>
      </c>
      <c r="E65" s="92">
        <f>D65/D60*100</f>
        <v>10.374438479237389</v>
      </c>
      <c r="F65" s="92">
        <f t="shared" si="7"/>
        <v>96.25158831003768</v>
      </c>
      <c r="G65" s="92">
        <f t="shared" si="5"/>
        <v>84.39171122994618</v>
      </c>
      <c r="H65" s="90">
        <f t="shared" si="8"/>
        <v>29.500000000003524</v>
      </c>
      <c r="I65" s="90">
        <f t="shared" si="6"/>
        <v>140.10000000000298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345.5</v>
      </c>
      <c r="C70" s="35">
        <f>C71+C72</f>
        <v>408.6</v>
      </c>
      <c r="D70" s="36">
        <f>D71+D72</f>
        <v>248.3</v>
      </c>
      <c r="E70" s="27">
        <f>D70/D156*100</f>
        <v>0.014660802090214212</v>
      </c>
      <c r="F70" s="3">
        <f>D70/B70*100</f>
        <v>71.86685962373373</v>
      </c>
      <c r="G70" s="3">
        <f t="shared" si="5"/>
        <v>60.76847772883015</v>
      </c>
      <c r="H70" s="36">
        <f>B70-D70</f>
        <v>97.19999999999999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128.2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24.180967238689547</v>
      </c>
      <c r="G72" s="92">
        <f t="shared" si="5"/>
        <v>16.20491374803973</v>
      </c>
      <c r="H72" s="90">
        <f t="shared" si="8"/>
        <v>97.19999999999999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f>168194.4+300+352.9</f>
        <v>168847.3</v>
      </c>
      <c r="C92" s="35">
        <f>208452.8+200+77.9-200+1000.1+7691.5+605.2+352.9</f>
        <v>218180.4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+5185.3+0.2+2016.7+9.2+204.3+37.1+26.4+142.8+112.9+26.2+9.3+2730.8+3278.9+30.5+24.5+5.5+2+186.9+13.5+228.6+36.6</f>
        <v>151191.89999999997</v>
      </c>
      <c r="E92" s="3">
        <f>D92/D156*100</f>
        <v>8.927082253497613</v>
      </c>
      <c r="F92" s="3">
        <f aca="true" t="shared" si="11" ref="F92:F98">D92/B92*100</f>
        <v>89.54356984091541</v>
      </c>
      <c r="G92" s="3">
        <f t="shared" si="9"/>
        <v>69.29673792879653</v>
      </c>
      <c r="H92" s="36">
        <f aca="true" t="shared" si="12" ref="H92:H98">B92-D92</f>
        <v>17655.400000000023</v>
      </c>
      <c r="I92" s="36">
        <f t="shared" si="10"/>
        <v>66988.50000000003</v>
      </c>
      <c r="J92" s="128"/>
    </row>
    <row r="93" spans="1:9" s="128" customFormat="1" ht="21.75" customHeight="1">
      <c r="A93" s="88" t="s">
        <v>3</v>
      </c>
      <c r="B93" s="107">
        <f>158248.5+300+252.9</f>
        <v>158801.4</v>
      </c>
      <c r="C93" s="108">
        <f>195523.2+200-200+936+7331.5+583.5+252.9</f>
        <v>204627.1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+5051+2015.7+9.2+0.1+204.3+37.1+109.8+54.1+2727.5+3263.5+22.2-0.2+104.3</f>
        <v>143613.4</v>
      </c>
      <c r="E93" s="92">
        <f>D93/D92*100</f>
        <v>94.98749602326582</v>
      </c>
      <c r="F93" s="92">
        <f t="shared" si="11"/>
        <v>90.43585258064476</v>
      </c>
      <c r="G93" s="92">
        <f t="shared" si="9"/>
        <v>70.18298162853307</v>
      </c>
      <c r="H93" s="90">
        <f t="shared" si="12"/>
        <v>15188</v>
      </c>
      <c r="I93" s="90">
        <f t="shared" si="10"/>
        <v>61013.70000000001</v>
      </c>
    </row>
    <row r="94" spans="1:9" s="128" customFormat="1" ht="18">
      <c r="A94" s="88" t="s">
        <v>23</v>
      </c>
      <c r="B94" s="107">
        <v>1716.8</v>
      </c>
      <c r="C94" s="108">
        <v>2704.7</v>
      </c>
      <c r="D94" s="90">
        <f>10+5.9+981.6+112.5+3.5+4.3+3+9.2+59.4+52.3+6.5+0.9+71.3+23+0.6+0.1+65.9+1.9-0.1+0.8+39.7+1.4+74.5+0.8</f>
        <v>1529.0000000000002</v>
      </c>
      <c r="E94" s="92">
        <f>D94/D92*100</f>
        <v>1.011297562898542</v>
      </c>
      <c r="F94" s="92">
        <f t="shared" si="11"/>
        <v>89.06104380242313</v>
      </c>
      <c r="G94" s="92">
        <f t="shared" si="9"/>
        <v>56.53122342588828</v>
      </c>
      <c r="H94" s="90">
        <f t="shared" si="12"/>
        <v>187.79999999999973</v>
      </c>
      <c r="I94" s="90">
        <f t="shared" si="10"/>
        <v>1175.6999999999996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8329.099999999995</v>
      </c>
      <c r="C96" s="108">
        <f>C92-C93-C94-C95</f>
        <v>10848.599999999988</v>
      </c>
      <c r="D96" s="108">
        <f>D92-D93-D94-D95</f>
        <v>6049.499999999971</v>
      </c>
      <c r="E96" s="92">
        <f>D96/D92*100</f>
        <v>4.001206413835644</v>
      </c>
      <c r="F96" s="92">
        <f t="shared" si="11"/>
        <v>72.63089649541938</v>
      </c>
      <c r="G96" s="92">
        <f>D96/C96*100</f>
        <v>55.76295558873936</v>
      </c>
      <c r="H96" s="90">
        <f t="shared" si="12"/>
        <v>2279.600000000024</v>
      </c>
      <c r="I96" s="90">
        <f>C96-D96</f>
        <v>4799.100000000017</v>
      </c>
    </row>
    <row r="97" spans="1:10" ht="18.75">
      <c r="A97" s="74" t="s">
        <v>10</v>
      </c>
      <c r="B97" s="82">
        <f>85260.1+3259.9+205</f>
        <v>88725</v>
      </c>
      <c r="C97" s="77">
        <f>83543+41100+1904.1+3500+20+3672-160+681.4</f>
        <v>134260.5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+18.6+127.4+3281.8+1137.6+2.2+5.2+936.4+253.7+32.3+1034.1+18.3+745.5+526.3+464.6+279.6</f>
        <v>74830.8</v>
      </c>
      <c r="E97" s="73">
        <f>D97/D156*100</f>
        <v>4.41836306505196</v>
      </c>
      <c r="F97" s="75">
        <f t="shared" si="11"/>
        <v>84.34015215553677</v>
      </c>
      <c r="G97" s="72">
        <f>D97/C97*100</f>
        <v>55.735529064765885</v>
      </c>
      <c r="H97" s="76">
        <f t="shared" si="12"/>
        <v>13894.199999999997</v>
      </c>
      <c r="I97" s="78">
        <f>C97-D97</f>
        <v>59429.7</v>
      </c>
      <c r="J97" s="128"/>
    </row>
    <row r="98" spans="1:9" s="128" customFormat="1" ht="18.75" thickBot="1">
      <c r="A98" s="110" t="s">
        <v>81</v>
      </c>
      <c r="B98" s="111">
        <v>12095.1</v>
      </c>
      <c r="C98" s="112">
        <f>16376.6+53.4</f>
        <v>16430</v>
      </c>
      <c r="D98" s="113">
        <f>101+2.6+598.7+1.6+2603.8+3.8+0.7+1149.5+2.1+129.3+1033.7+0.3+164.7+461.5+907.4+167.5+105.4+83.7+677.1+35.3+47.9+8.7+62.1+35+659.5+47.8+1.1+7.6+40+127.4+745.4+2.2+6.1+12.3+39.7</f>
        <v>10072.5</v>
      </c>
      <c r="E98" s="114">
        <f>D98/D97*100</f>
        <v>13.460366587020317</v>
      </c>
      <c r="F98" s="115">
        <f t="shared" si="11"/>
        <v>83.27752560954436</v>
      </c>
      <c r="G98" s="116">
        <f>D98/C98*100</f>
        <v>61.305538648813155</v>
      </c>
      <c r="H98" s="117">
        <f t="shared" si="12"/>
        <v>2022.6000000000004</v>
      </c>
      <c r="I98" s="106">
        <f>C98-D98</f>
        <v>6357.5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f>55607.6-685-30.3</f>
        <v>54892.299999999996</v>
      </c>
      <c r="C104" s="64">
        <f>73778+7.6+15.1-60.1+7.6-42.3+7.6+46-0.1-685-35+3511.2</f>
        <v>76550.6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+34.5+81.4+37+1995.6+81.4+13.5+12.5+24.7+31.3+7.8+157.8+15+1885.5+3.6+5.4</f>
        <v>46635.20000000001</v>
      </c>
      <c r="E104" s="16">
        <f>D104/D156*100</f>
        <v>2.7535619719595563</v>
      </c>
      <c r="F104" s="16">
        <f>D104/B104*100</f>
        <v>84.95763522388388</v>
      </c>
      <c r="G104" s="16">
        <f aca="true" t="shared" si="13" ref="G104:G154">D104/C104*100</f>
        <v>60.920750457867086</v>
      </c>
      <c r="H104" s="60">
        <f aca="true" t="shared" si="14" ref="H104:H154">B104-D104</f>
        <v>8257.099999999984</v>
      </c>
      <c r="I104" s="60">
        <f aca="true" t="shared" si="15" ref="I104:I154">C104-D104</f>
        <v>29915.399999999994</v>
      </c>
      <c r="J104" s="83"/>
    </row>
    <row r="105" spans="1:9" s="128" customFormat="1" ht="18.75" customHeight="1">
      <c r="A105" s="88" t="s">
        <v>3</v>
      </c>
      <c r="B105" s="99">
        <v>380.5</v>
      </c>
      <c r="C105" s="100">
        <v>543.6</v>
      </c>
      <c r="D105" s="100">
        <f>19.3+40.4+6+27+20.5+24.8+29.6+28.9+1.8+28.7-0.1+31.3</f>
        <v>258.2</v>
      </c>
      <c r="E105" s="101">
        <f>D105/D104*100</f>
        <v>0.5536590386660718</v>
      </c>
      <c r="F105" s="92">
        <f>D105/B105*100</f>
        <v>67.8580814717477</v>
      </c>
      <c r="G105" s="101">
        <f>D105/C105*100</f>
        <v>47.49816041206769</v>
      </c>
      <c r="H105" s="100">
        <f t="shared" si="14"/>
        <v>122.30000000000001</v>
      </c>
      <c r="I105" s="100">
        <f t="shared" si="15"/>
        <v>285.40000000000003</v>
      </c>
    </row>
    <row r="106" spans="1:9" s="128" customFormat="1" ht="18">
      <c r="A106" s="102" t="s">
        <v>46</v>
      </c>
      <c r="B106" s="89">
        <f>49569.2-685-30.3</f>
        <v>48853.899999999994</v>
      </c>
      <c r="C106" s="90">
        <f>65554.9+7.6+15.1-60.1+45.6-3+37.7+7.6-160-18.9-685-35</f>
        <v>64706.50000000001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+5.8+81.4+1995.6-30.9+66.5+3.6+19.4+7.8+146.4+1885.5+3.6+5.4</f>
        <v>42451.96000000002</v>
      </c>
      <c r="E106" s="92">
        <f>D106/D104*100</f>
        <v>91.02986585240336</v>
      </c>
      <c r="F106" s="92">
        <f aca="true" t="shared" si="16" ref="F106:F154">D106/B106*100</f>
        <v>86.89574424969148</v>
      </c>
      <c r="G106" s="92">
        <f t="shared" si="13"/>
        <v>65.60694829731173</v>
      </c>
      <c r="H106" s="90">
        <f t="shared" si="14"/>
        <v>6401.939999999973</v>
      </c>
      <c r="I106" s="90">
        <f t="shared" si="15"/>
        <v>22254.539999999986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5657.9000000000015</v>
      </c>
      <c r="C108" s="104">
        <f>C104-C105-C106</f>
        <v>11300.499999999993</v>
      </c>
      <c r="D108" s="104">
        <f>D104-D105-D106</f>
        <v>3925.0399999999936</v>
      </c>
      <c r="E108" s="105">
        <f>D108/D104*100</f>
        <v>8.416475108930577</v>
      </c>
      <c r="F108" s="105">
        <f t="shared" si="16"/>
        <v>69.3727354672227</v>
      </c>
      <c r="G108" s="105">
        <f t="shared" si="13"/>
        <v>34.73333038361131</v>
      </c>
      <c r="H108" s="166">
        <f t="shared" si="14"/>
        <v>1732.8600000000079</v>
      </c>
      <c r="I108" s="106">
        <f t="shared" si="15"/>
        <v>7375.459999999999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459076.50000000006</v>
      </c>
      <c r="C109" s="62">
        <f>SUM(C110:C153)-C117-C122+C154-C144-C145-C111-C114-C125-C126-C142-C135-C133-C140-C120</f>
        <v>635015.8</v>
      </c>
      <c r="D109" s="62">
        <f>SUM(D110:D153)-D117-D122+D154-D144-D145-D111-D114-D125-D126-D142-D135-D133-D140-D120</f>
        <v>448195.51979000005</v>
      </c>
      <c r="E109" s="63">
        <f>D109/D156*100</f>
        <v>26.46357556730518</v>
      </c>
      <c r="F109" s="63">
        <f>D109/B109*100</f>
        <v>97.62981110773477</v>
      </c>
      <c r="G109" s="63">
        <f t="shared" si="13"/>
        <v>70.58021545133208</v>
      </c>
      <c r="H109" s="62">
        <f t="shared" si="14"/>
        <v>10880.980210000009</v>
      </c>
      <c r="I109" s="62">
        <f t="shared" si="15"/>
        <v>186820.28021</v>
      </c>
      <c r="J109" s="96"/>
    </row>
    <row r="110" spans="1:9" s="128" customFormat="1" ht="37.5">
      <c r="A110" s="143" t="s">
        <v>50</v>
      </c>
      <c r="B110" s="144">
        <f>3077.2+195</f>
        <v>3272.2</v>
      </c>
      <c r="C110" s="124">
        <f>4983.7+195</f>
        <v>5178.7</v>
      </c>
      <c r="D110" s="84">
        <f>1.8+140.5+138.5+0.9+33+80.9+13.3+0.1+53.3+109+1.4+124.9+19.8+24.9+9+3.6+91.3+61.8+18.7+59+14.7+34.7+0.1+2.2+3.8+2.1+129.5+15.3+0.5-0.3+15.6+0.9+145.2+1.4+33.8+73+26.3+109.9+61.1+11.7+3.2-0.1+0.6+6.1+144.6+0.5+9.9+3.3+47+128.6+1.3+2.1+22.9+7.9</f>
        <v>2045.0999999999997</v>
      </c>
      <c r="E110" s="85">
        <f>D110/D109*100</f>
        <v>0.4562963951442937</v>
      </c>
      <c r="F110" s="85">
        <f t="shared" si="16"/>
        <v>62.49923598802029</v>
      </c>
      <c r="G110" s="85">
        <f t="shared" si="13"/>
        <v>39.49060575047791</v>
      </c>
      <c r="H110" s="86">
        <f t="shared" si="14"/>
        <v>1227.1000000000001</v>
      </c>
      <c r="I110" s="86">
        <f t="shared" si="15"/>
        <v>3133.6000000000004</v>
      </c>
    </row>
    <row r="111" spans="1:9" s="128" customFormat="1" ht="18">
      <c r="A111" s="88" t="s">
        <v>23</v>
      </c>
      <c r="B111" s="89">
        <v>1360.6</v>
      </c>
      <c r="C111" s="90">
        <v>2332.2</v>
      </c>
      <c r="D111" s="91">
        <f>2.4+138.5+0.9+33.1+80.9+53.3+1.8+1.1+124.9+24.9+6.2+38.5+59+14.7+33.9+0.6+2.3+35.5+60-0.1+40.7+47</f>
        <v>800.1</v>
      </c>
      <c r="E111" s="92">
        <f>D111/D110*100</f>
        <v>39.1227812820889</v>
      </c>
      <c r="F111" s="92">
        <f t="shared" si="16"/>
        <v>58.80493899750111</v>
      </c>
      <c r="G111" s="92">
        <f t="shared" si="13"/>
        <v>34.306663236429124</v>
      </c>
      <c r="H111" s="90">
        <f t="shared" si="14"/>
        <v>560.4999999999999</v>
      </c>
      <c r="I111" s="90">
        <f t="shared" si="15"/>
        <v>1532.1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225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225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v>4331.6</v>
      </c>
      <c r="C116" s="86">
        <v>5785.2</v>
      </c>
      <c r="D116" s="84">
        <f>187.7+10.4+531.5+38.4+44.9+0.1+53.3+13.7+14.6+4.3+409.7+22.6+33.2+12.9+10.1+431+0.1+44.6+9.7+432.7+17.3+360.1+31.7-0.1+261.4+138.4+11.8+4.8+433.3+0.1+36.9</f>
        <v>3601.2000000000003</v>
      </c>
      <c r="E116" s="85">
        <f>D116/D109*100</f>
        <v>0.8034886207000297</v>
      </c>
      <c r="F116" s="85">
        <f t="shared" si="16"/>
        <v>83.13787053282852</v>
      </c>
      <c r="G116" s="85">
        <f t="shared" si="13"/>
        <v>62.24849616262187</v>
      </c>
      <c r="H116" s="86">
        <f t="shared" si="14"/>
        <v>730.4000000000001</v>
      </c>
      <c r="I116" s="86">
        <f t="shared" si="15"/>
        <v>2183.9999999999995</v>
      </c>
      <c r="K116" s="150">
        <f>H124+H143</f>
        <v>988.5999999999998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v>729.2</v>
      </c>
      <c r="C121" s="93">
        <v>1024.8</v>
      </c>
      <c r="D121" s="84">
        <f>80.5+0.2+38.8+80.5+0.8+10+10.3+80.5+16.8+0.3+4+80.5+10+10+0.3+0.8+80.5+1.1+1.1+0.2+0.4+0.3+1.7</f>
        <v>509.6000000000001</v>
      </c>
      <c r="E121" s="85">
        <f>D121/D109*100</f>
        <v>0.11370037795977318</v>
      </c>
      <c r="F121" s="85">
        <f t="shared" si="16"/>
        <v>69.88480526604499</v>
      </c>
      <c r="G121" s="85">
        <f t="shared" si="13"/>
        <v>49.726775956284165</v>
      </c>
      <c r="H121" s="86">
        <f t="shared" si="14"/>
        <v>219.59999999999997</v>
      </c>
      <c r="I121" s="86">
        <f t="shared" si="15"/>
        <v>515.1999999999998</v>
      </c>
    </row>
    <row r="122" spans="1:9" s="97" customFormat="1" ht="18">
      <c r="A122" s="147" t="s">
        <v>41</v>
      </c>
      <c r="B122" s="89">
        <v>483.1</v>
      </c>
      <c r="C122" s="90">
        <v>724.7</v>
      </c>
      <c r="D122" s="91">
        <f>80.5+80.5+80.5+80.5+0.1+80.5</f>
        <v>402.6</v>
      </c>
      <c r="E122" s="92">
        <f>D122/D121*100</f>
        <v>79.00313971742541</v>
      </c>
      <c r="F122" s="92">
        <f t="shared" si="16"/>
        <v>83.33678327468434</v>
      </c>
      <c r="G122" s="92">
        <f t="shared" si="13"/>
        <v>55.554022354077546</v>
      </c>
      <c r="H122" s="90">
        <f t="shared" si="14"/>
        <v>80.5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275-160.5</f>
        <v>114.5</v>
      </c>
      <c r="C123" s="93">
        <f>347-160.5</f>
        <v>186.5</v>
      </c>
      <c r="D123" s="84">
        <f>34.5+13.8+4.3+21.7</f>
        <v>74.3</v>
      </c>
      <c r="E123" s="85">
        <f>D123/D109*100</f>
        <v>0.016577586503946518</v>
      </c>
      <c r="F123" s="85">
        <f t="shared" si="16"/>
        <v>64.89082969432314</v>
      </c>
      <c r="G123" s="85">
        <f t="shared" si="13"/>
        <v>39.839142091152816</v>
      </c>
      <c r="H123" s="86">
        <f t="shared" si="14"/>
        <v>40.2</v>
      </c>
      <c r="I123" s="86">
        <f t="shared" si="15"/>
        <v>112.2</v>
      </c>
    </row>
    <row r="124" spans="1:9" s="96" customFormat="1" ht="21.75" customHeight="1">
      <c r="A124" s="145" t="s">
        <v>92</v>
      </c>
      <c r="B124" s="146">
        <v>917.6</v>
      </c>
      <c r="C124" s="93">
        <f>86+920</f>
        <v>1006</v>
      </c>
      <c r="D124" s="94">
        <f>54.4+15.9+15.6+12.1</f>
        <v>97.99999999999999</v>
      </c>
      <c r="E124" s="95">
        <f>D124/D109*100</f>
        <v>0.021865457299956374</v>
      </c>
      <c r="F124" s="85">
        <f t="shared" si="16"/>
        <v>10.68003487358326</v>
      </c>
      <c r="G124" s="85">
        <f t="shared" si="13"/>
        <v>9.741550695825048</v>
      </c>
      <c r="H124" s="86">
        <f t="shared" si="14"/>
        <v>819.6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v>15569.7</v>
      </c>
      <c r="C127" s="159">
        <f>6156.2+17413.5-8000</f>
        <v>15569.7</v>
      </c>
      <c r="D127" s="160">
        <f>871.9+408.1+585.9+900.5+901.8+879.7+893+994.8+887.7+852.4+0.1+789.7+988.1+754.9+941.7+788.3+949.6+785.4+882.7+504.8</f>
        <v>15561.1</v>
      </c>
      <c r="E127" s="161">
        <f>D127/D109*100</f>
        <v>3.471944567248482</v>
      </c>
      <c r="F127" s="162">
        <f t="shared" si="16"/>
        <v>99.94476451055576</v>
      </c>
      <c r="G127" s="162">
        <f t="shared" si="13"/>
        <v>99.94476451055576</v>
      </c>
      <c r="H127" s="163">
        <f t="shared" si="14"/>
        <v>8.600000000000364</v>
      </c>
      <c r="I127" s="163">
        <f t="shared" si="15"/>
        <v>8.600000000000364</v>
      </c>
      <c r="J127" s="164"/>
      <c r="K127" s="165">
        <f>H110+H113+H116+H121+H123+H129+H130+H132+H134+H138+H139+H141+H150+H70+H128</f>
        <v>4676.36538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694.6999999999999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f>2.2+72.4</f>
        <v>74.60000000000001</v>
      </c>
      <c r="E129" s="95">
        <f>D129/D109*100</f>
        <v>0.016644521577313734</v>
      </c>
      <c r="F129" s="85">
        <f t="shared" si="16"/>
        <v>15.44513457556936</v>
      </c>
      <c r="G129" s="85">
        <f t="shared" si="13"/>
        <v>15.44513457556936</v>
      </c>
      <c r="H129" s="86">
        <f t="shared" si="14"/>
        <v>408.4</v>
      </c>
      <c r="I129" s="86">
        <f t="shared" si="15"/>
        <v>408.4</v>
      </c>
      <c r="K129" s="87">
        <f>H133+H140</f>
        <v>474.79999999999995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v>845.9</v>
      </c>
      <c r="C132" s="93">
        <v>1003.9</v>
      </c>
      <c r="D132" s="94">
        <f>7.7+12.9+7.7+2.8+0.3+0.9+48+9.2+16+18.7+7+7.7+1.3+0.4+12+8.8+4.3+4.6+2.7+28.5+7.2+7.7-0.1+172.1+2.3</f>
        <v>390.7</v>
      </c>
      <c r="E132" s="95">
        <f>D132/D109*100</f>
        <v>0.08717177721523425</v>
      </c>
      <c r="F132" s="85">
        <f t="shared" si="16"/>
        <v>46.18749261141979</v>
      </c>
      <c r="G132" s="85">
        <f t="shared" si="13"/>
        <v>38.91821894611017</v>
      </c>
      <c r="H132" s="86">
        <f t="shared" si="14"/>
        <v>455.2</v>
      </c>
      <c r="I132" s="86">
        <f t="shared" si="15"/>
        <v>613.2</v>
      </c>
      <c r="M132" s="87"/>
    </row>
    <row r="133" spans="1:13" s="97" customFormat="1" ht="18">
      <c r="A133" s="88" t="s">
        <v>86</v>
      </c>
      <c r="B133" s="89">
        <v>516.8</v>
      </c>
      <c r="C133" s="90">
        <v>553.3</v>
      </c>
      <c r="D133" s="91">
        <f>7.7+48+7.7+7.7+7.7+7.7+7.7-0.1</f>
        <v>94.10000000000002</v>
      </c>
      <c r="E133" s="92">
        <f>D133/D132*100</f>
        <v>24.08497568466855</v>
      </c>
      <c r="F133" s="92">
        <f>D133/B133*100</f>
        <v>18.20820433436533</v>
      </c>
      <c r="G133" s="92">
        <f t="shared" si="13"/>
        <v>17.007048617386594</v>
      </c>
      <c r="H133" s="90">
        <f t="shared" si="14"/>
        <v>422.69999999999993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125-20</f>
        <v>105</v>
      </c>
      <c r="C134" s="93">
        <f>250-20</f>
        <v>230</v>
      </c>
      <c r="D134" s="94">
        <f>9.6+20</f>
        <v>29.6</v>
      </c>
      <c r="E134" s="95">
        <f>D134/D109*100</f>
        <v>0.006604260572231722</v>
      </c>
      <c r="F134" s="85">
        <f t="shared" si="16"/>
        <v>28.190476190476193</v>
      </c>
      <c r="G134" s="85">
        <f t="shared" si="13"/>
        <v>12.869565217391305</v>
      </c>
      <c r="H134" s="86">
        <f t="shared" si="14"/>
        <v>75.4</v>
      </c>
      <c r="I134" s="86">
        <f t="shared" si="15"/>
        <v>200.4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f>2043.9-205</f>
        <v>1838.9</v>
      </c>
      <c r="C138" s="93">
        <v>2964.5</v>
      </c>
      <c r="D138" s="94">
        <f>203+174+113.5+76.2+55.5+17.2+64.2+103.9+40.9+12.5+10.2+13.3+28.3+0.1+10.1+19.9+1.8+49.6+39.6</f>
        <v>1033.8</v>
      </c>
      <c r="E138" s="95">
        <f>D138/D109*100</f>
        <v>0.23065826282341736</v>
      </c>
      <c r="F138" s="85">
        <f t="shared" si="16"/>
        <v>56.21839142965903</v>
      </c>
      <c r="G138" s="85">
        <f t="shared" si="13"/>
        <v>34.872659807724744</v>
      </c>
      <c r="H138" s="86">
        <f t="shared" si="14"/>
        <v>805.1000000000001</v>
      </c>
      <c r="I138" s="86">
        <f t="shared" si="15"/>
        <v>1930.7</v>
      </c>
    </row>
    <row r="139" spans="1:9" s="96" customFormat="1" ht="39" customHeight="1">
      <c r="A139" s="145" t="s">
        <v>52</v>
      </c>
      <c r="B139" s="146">
        <f>270-72.4</f>
        <v>197.6</v>
      </c>
      <c r="C139" s="93">
        <f>350-72.4</f>
        <v>277.6</v>
      </c>
      <c r="D139" s="94">
        <f>30+1.3+13+17.4+1.4+1.8-0.1+8+1.1+2.9+39.6+4.1</f>
        <v>120.5</v>
      </c>
      <c r="E139" s="95">
        <f>D139/D109*100</f>
        <v>0.026885587802497384</v>
      </c>
      <c r="F139" s="85">
        <f t="shared" si="16"/>
        <v>60.98178137651822</v>
      </c>
      <c r="G139" s="85">
        <f t="shared" si="13"/>
        <v>43.40778097982709</v>
      </c>
      <c r="H139" s="86">
        <f t="shared" si="14"/>
        <v>77.1</v>
      </c>
      <c r="I139" s="86">
        <f t="shared" si="15"/>
        <v>157.10000000000002</v>
      </c>
    </row>
    <row r="140" spans="1:9" s="97" customFormat="1" ht="18">
      <c r="A140" s="88" t="s">
        <v>86</v>
      </c>
      <c r="B140" s="89">
        <f>95-30</f>
        <v>65</v>
      </c>
      <c r="C140" s="90">
        <f>110-30</f>
        <v>80</v>
      </c>
      <c r="D140" s="91">
        <f>1.3+0.4+1.4+1.8-0.1+1.1+2.9+4.1</f>
        <v>12.9</v>
      </c>
      <c r="E140" s="92"/>
      <c r="F140" s="85">
        <f>D140/B140*100</f>
        <v>19.846153846153847</v>
      </c>
      <c r="G140" s="92">
        <f>D140/C140*100</f>
        <v>16.125</v>
      </c>
      <c r="H140" s="90">
        <f>B140-D140</f>
        <v>52.1</v>
      </c>
      <c r="I140" s="90">
        <f>C140-D140</f>
        <v>67.1</v>
      </c>
    </row>
    <row r="141" spans="1:9" s="96" customFormat="1" ht="40.5" customHeight="1">
      <c r="A141" s="145" t="s">
        <v>82</v>
      </c>
      <c r="B141" s="146">
        <v>455</v>
      </c>
      <c r="C141" s="93">
        <v>642.9</v>
      </c>
      <c r="D141" s="94">
        <f>3.4+29.8+0.5+0.6+0.5+7+95+1+3.4+1.6+21.9+0.5+0.2+14.5+1.1+4.5+5.3+14.7+1.23462+4.7+11.1+4.8+0.3+0.3+3.4+16.7+0.7+5.1+0.7+10.9+0.1+4.9</f>
        <v>270.43462</v>
      </c>
      <c r="E141" s="95">
        <f>D141/D109*100</f>
        <v>0.060338537102448256</v>
      </c>
      <c r="F141" s="85">
        <f>D141/B141*100</f>
        <v>59.43618021978022</v>
      </c>
      <c r="G141" s="85">
        <f>D141/C141*100</f>
        <v>42.064803235339866</v>
      </c>
      <c r="H141" s="86">
        <f t="shared" si="14"/>
        <v>184.56538</v>
      </c>
      <c r="I141" s="86">
        <f t="shared" si="15"/>
        <v>372.46538</v>
      </c>
    </row>
    <row r="142" spans="1:9" s="97" customFormat="1" ht="18">
      <c r="A142" s="88" t="s">
        <v>23</v>
      </c>
      <c r="B142" s="89">
        <v>365</v>
      </c>
      <c r="C142" s="90">
        <v>524.9</v>
      </c>
      <c r="D142" s="91">
        <f>0.4+29.8+0.5+0.6+95+0.7+18.5+0.5+14.5+1.1+4.5+14.8+1.2+11.1+4.8+0.2+15.2+0.7+5.1+0.7+10.9</f>
        <v>230.79999999999995</v>
      </c>
      <c r="E142" s="92">
        <f>D142/D141*100</f>
        <v>85.3441027631743</v>
      </c>
      <c r="F142" s="92">
        <f t="shared" si="16"/>
        <v>63.23287671232875</v>
      </c>
      <c r="G142" s="92">
        <f>D142/C142*100</f>
        <v>43.97028005334349</v>
      </c>
      <c r="H142" s="90">
        <f t="shared" si="14"/>
        <v>134.20000000000005</v>
      </c>
      <c r="I142" s="90">
        <f t="shared" si="15"/>
        <v>294.1</v>
      </c>
    </row>
    <row r="143" spans="1:9" s="96" customFormat="1" ht="18.75">
      <c r="A143" s="145" t="s">
        <v>94</v>
      </c>
      <c r="B143" s="146">
        <v>1818.9</v>
      </c>
      <c r="C143" s="93">
        <v>2262.8</v>
      </c>
      <c r="D143" s="94">
        <f>33.6+100.1+61.4+1.9+88.9+76.4+140.9+13.9+60.1+109.3+18.6+51.1+12+15.7+91.6+92.9+151.5+21.4+117.4-12.2+110+74.1+147.9+19.9+51.5</f>
        <v>1649.9000000000003</v>
      </c>
      <c r="E143" s="95">
        <f>D143/D109*100</f>
        <v>0.3681205918285514</v>
      </c>
      <c r="F143" s="85">
        <f t="shared" si="16"/>
        <v>90.70867007532027</v>
      </c>
      <c r="G143" s="85">
        <f t="shared" si="13"/>
        <v>72.91408873961464</v>
      </c>
      <c r="H143" s="86">
        <f t="shared" si="14"/>
        <v>168.99999999999977</v>
      </c>
      <c r="I143" s="86">
        <f t="shared" si="15"/>
        <v>612.8999999999999</v>
      </c>
    </row>
    <row r="144" spans="1:9" s="97" customFormat="1" ht="18">
      <c r="A144" s="147" t="s">
        <v>41</v>
      </c>
      <c r="B144" s="89">
        <v>1469.3</v>
      </c>
      <c r="C144" s="90">
        <v>1867.4</v>
      </c>
      <c r="D144" s="91">
        <f>33.6+99.1+51.9+81.4+59+82.2+5.6+57.6+68.8+16.1-2.2+47.6+70.6+83.7+114.7+20.9+115.1+0.1+80.1+70.3+136.9+14.5+51.4</f>
        <v>1359.0000000000002</v>
      </c>
      <c r="E144" s="92">
        <f>D144/D143*100</f>
        <v>82.36862840172131</v>
      </c>
      <c r="F144" s="92">
        <f t="shared" si="16"/>
        <v>92.49302388892671</v>
      </c>
      <c r="G144" s="92">
        <f t="shared" si="13"/>
        <v>72.7749812573632</v>
      </c>
      <c r="H144" s="90">
        <f t="shared" si="14"/>
        <v>110.29999999999973</v>
      </c>
      <c r="I144" s="90">
        <f t="shared" si="15"/>
        <v>508.39999999999986</v>
      </c>
    </row>
    <row r="145" spans="1:9" s="97" customFormat="1" ht="18">
      <c r="A145" s="88" t="s">
        <v>23</v>
      </c>
      <c r="B145" s="89">
        <v>30.6</v>
      </c>
      <c r="C145" s="90">
        <v>48</v>
      </c>
      <c r="D145" s="91">
        <f>9.3+7.4+6+0.1+2.5+0.1+0.1+1+0.5+0.4+0.3</f>
        <v>27.700000000000006</v>
      </c>
      <c r="E145" s="92">
        <f>D145/D143*100</f>
        <v>1.6788896296745257</v>
      </c>
      <c r="F145" s="92">
        <f t="shared" si="16"/>
        <v>90.52287581699348</v>
      </c>
      <c r="G145" s="92">
        <f>D145/C145*100</f>
        <v>57.70833333333335</v>
      </c>
      <c r="H145" s="90">
        <f t="shared" si="14"/>
        <v>2.899999999999995</v>
      </c>
      <c r="I145" s="90">
        <f t="shared" si="15"/>
        <v>20.299999999999994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0.21441535168630696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136625.9+2375.7</f>
        <v>139001.6</v>
      </c>
      <c r="C148" s="93">
        <f>148561.8-115.4-1283.5+4253.3</f>
        <v>151416.19999999998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+761.7+2817.9+9.3+2471.4+10.7+36.6+199.4+3377.1+188.4</f>
        <v>136370.90000000002</v>
      </c>
      <c r="E148" s="95">
        <f>D148/D109*100</f>
        <v>30.42665398884308</v>
      </c>
      <c r="F148" s="85">
        <f t="shared" si="16"/>
        <v>98.1074318568995</v>
      </c>
      <c r="G148" s="85">
        <f t="shared" si="13"/>
        <v>90.06361274421101</v>
      </c>
      <c r="H148" s="86">
        <f t="shared" si="14"/>
        <v>2630.6999999999825</v>
      </c>
      <c r="I148" s="86">
        <f t="shared" si="15"/>
        <v>15045.29999999996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38</v>
      </c>
      <c r="C150" s="93">
        <v>50</v>
      </c>
      <c r="D150" s="94">
        <f>1+0.7+0.3+0.3+0.3+0.3</f>
        <v>2.8999999999999995</v>
      </c>
      <c r="E150" s="95">
        <f>D150/D111*100</f>
        <v>0.36245469316335455</v>
      </c>
      <c r="F150" s="85">
        <f>D150/B150*100</f>
        <v>7.6315789473684195</v>
      </c>
      <c r="G150" s="85">
        <f>D150/C150*100</f>
        <v>5.799999999999999</v>
      </c>
      <c r="H150" s="86">
        <f>B150-D150</f>
        <v>35.1</v>
      </c>
      <c r="I150" s="86">
        <f>C150-D150</f>
        <v>47.1</v>
      </c>
    </row>
    <row r="151" spans="1:9" s="96" customFormat="1" ht="18.75">
      <c r="A151" s="145" t="s">
        <v>96</v>
      </c>
      <c r="B151" s="155">
        <f>76.9-0.1</f>
        <v>76.80000000000001</v>
      </c>
      <c r="C151" s="93">
        <v>93.9</v>
      </c>
      <c r="D151" s="94">
        <f>29.5+25.8+21.5</f>
        <v>76.8</v>
      </c>
      <c r="E151" s="95">
        <f>D151/D109*100</f>
        <v>0.01713537878200663</v>
      </c>
      <c r="F151" s="85">
        <f t="shared" si="16"/>
        <v>99.99999999999997</v>
      </c>
      <c r="G151" s="85">
        <f t="shared" si="13"/>
        <v>81.78913738019169</v>
      </c>
      <c r="H151" s="86">
        <f t="shared" si="14"/>
        <v>0</v>
      </c>
      <c r="I151" s="86">
        <f t="shared" si="15"/>
        <v>17.10000000000001</v>
      </c>
    </row>
    <row r="152" spans="1:9" s="96" customFormat="1" ht="18" customHeight="1">
      <c r="A152" s="145" t="s">
        <v>75</v>
      </c>
      <c r="B152" s="155">
        <v>12146.8</v>
      </c>
      <c r="C152" s="93">
        <f>509.5+13731.5</f>
        <v>14241</v>
      </c>
      <c r="D152" s="94">
        <f>469.6+898.6+871.8+55+430.7+600.4+36+430.7-0.1+542+60.6+1510.5+423.8+77.7+719.5+23.4+379.6+98.9+504+871.8+627.7+0.1+17.7+73.7+685.9+1071.3+78.8</f>
        <v>11559.7</v>
      </c>
      <c r="E152" s="95">
        <f>D152/D109*100</f>
        <v>2.5791645586765894</v>
      </c>
      <c r="F152" s="85">
        <f t="shared" si="16"/>
        <v>95.16662824776897</v>
      </c>
      <c r="G152" s="85">
        <f t="shared" si="13"/>
        <v>81.17196826065586</v>
      </c>
      <c r="H152" s="86">
        <f t="shared" si="14"/>
        <v>587.0999999999985</v>
      </c>
      <c r="I152" s="86">
        <f t="shared" si="15"/>
        <v>2681.2999999999993</v>
      </c>
    </row>
    <row r="153" spans="1:9" s="96" customFormat="1" ht="19.5" customHeight="1">
      <c r="A153" s="145" t="s">
        <v>48</v>
      </c>
      <c r="B153" s="146">
        <f>185333.8+43780-3259.9-1145.3+200</f>
        <v>224908.6</v>
      </c>
      <c r="C153" s="93">
        <f>365455.9+155.1+4856-2795.8+8042.5-6175-6275.6</f>
        <v>363263.10000000003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+0.5+17710.5+10364.3+11302.2</f>
        <v>224708.58516999998</v>
      </c>
      <c r="E153" s="95">
        <f>D153/D109*100</f>
        <v>50.13628544865557</v>
      </c>
      <c r="F153" s="85">
        <f t="shared" si="16"/>
        <v>99.91106839400537</v>
      </c>
      <c r="G153" s="85">
        <f t="shared" si="13"/>
        <v>61.85835697872973</v>
      </c>
      <c r="H153" s="86">
        <f t="shared" si="14"/>
        <v>200.01483000002918</v>
      </c>
      <c r="I153" s="86">
        <f>C153-D153</f>
        <v>138554.51483000006</v>
      </c>
    </row>
    <row r="154" spans="1:9" s="96" customFormat="1" ht="18.75">
      <c r="A154" s="145" t="s">
        <v>97</v>
      </c>
      <c r="B154" s="146">
        <v>50943.6</v>
      </c>
      <c r="C154" s="93">
        <v>67925</v>
      </c>
      <c r="D154" s="94">
        <f>1886.8+1886.8+1886.8+1886.8+1886.8+1886.8+1886.8+1886.8+1886.8+1886.8+1886.8+1886.8+1886.8+1886.8+1886.8+1886.8+1886.8+1886.8+1886.8+1886.8+1886.8+1886.8+1886.8+1886.8+1886.8+1886.8</f>
        <v>49056.80000000002</v>
      </c>
      <c r="E154" s="95">
        <f>D154/D109*100</f>
        <v>10.94540169053572</v>
      </c>
      <c r="F154" s="85">
        <f t="shared" si="16"/>
        <v>96.29629629629633</v>
      </c>
      <c r="G154" s="85">
        <f t="shared" si="13"/>
        <v>72.22200956937802</v>
      </c>
      <c r="H154" s="86">
        <f t="shared" si="14"/>
        <v>1886.799999999981</v>
      </c>
      <c r="I154" s="86">
        <f t="shared" si="15"/>
        <v>18868.199999999983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495612.1197900001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1854337.7000000002</v>
      </c>
      <c r="C156" s="36">
        <f>C6+C18+C33+C43+C52+C60+C70+C74+C79+C81+C89+C92+C97+C104+C109+C102+C86+C100+C46</f>
        <v>2507982.7</v>
      </c>
      <c r="D156" s="36">
        <f>D6+D18+D33+D43+D52+D60+D70+D74+D79+D81+D89+D92+D97+D104+D109+D102+D86+D100+D46</f>
        <v>1693631.7567900002</v>
      </c>
      <c r="E156" s="25">
        <v>100</v>
      </c>
      <c r="F156" s="3">
        <f>D156/B156*100</f>
        <v>91.33351259535952</v>
      </c>
      <c r="G156" s="3">
        <f aca="true" t="shared" si="17" ref="G156:G162">D156/C156*100</f>
        <v>67.52964272002356</v>
      </c>
      <c r="H156" s="36">
        <f>B156-D156</f>
        <v>160705.94320999994</v>
      </c>
      <c r="I156" s="36">
        <f aca="true" t="shared" si="18" ref="I156:I162">C156-D156</f>
        <v>814350.9432099999</v>
      </c>
      <c r="K156" s="129">
        <f>D156-114199.9-202905.8-214631.3-204053.8-222765.5+11.7-231911.7-174259.3+121.8-188776.5</f>
        <v>140261.45679000014</v>
      </c>
    </row>
    <row r="157" spans="1:9" ht="18.75">
      <c r="A157" s="15" t="s">
        <v>5</v>
      </c>
      <c r="B157" s="47">
        <f>B8+B20+B34+B53+B61+B93+B117+B122+B47+B144+B135+B105</f>
        <v>761121.0000000001</v>
      </c>
      <c r="C157" s="47">
        <f>C8+C20+C34+C53+C61+C93+C117+C122+C47+C144+C135+C105</f>
        <v>996771.1</v>
      </c>
      <c r="D157" s="47">
        <f>D8+D20+D34+D53+D61+D93+D117+D122+D47+D144+D135+D105</f>
        <v>691321.9</v>
      </c>
      <c r="E157" s="6">
        <f>D157/D156*100</f>
        <v>40.81890276492493</v>
      </c>
      <c r="F157" s="6">
        <f aca="true" t="shared" si="19" ref="F157:F162">D157/B157*100</f>
        <v>90.82943447888047</v>
      </c>
      <c r="G157" s="6">
        <f t="shared" si="17"/>
        <v>69.35613402114087</v>
      </c>
      <c r="H157" s="48">
        <f aca="true" t="shared" si="20" ref="H157:H162">B157-D157</f>
        <v>69799.1000000001</v>
      </c>
      <c r="I157" s="57">
        <f t="shared" si="18"/>
        <v>305449.19999999995</v>
      </c>
    </row>
    <row r="158" spans="1:9" ht="18.75">
      <c r="A158" s="15" t="s">
        <v>0</v>
      </c>
      <c r="B158" s="86">
        <f>B11+B23+B36+B56+B63+B94+B50+B145+B111+B114+B98+B142+B131</f>
        <v>80698.00000000001</v>
      </c>
      <c r="C158" s="86">
        <f>C11+C23+C36+C56+C63+C94+C50+C145+C111+C114+C98+C142+C131</f>
        <v>125275.7</v>
      </c>
      <c r="D158" s="86">
        <f>D11+D23+D36+D56+D63+D94+D50+D145+D111+D114+D98+D142+D131</f>
        <v>66291.39999999995</v>
      </c>
      <c r="E158" s="6">
        <f>D158/D156*100</f>
        <v>3.9141566479388863</v>
      </c>
      <c r="F158" s="6">
        <f t="shared" si="19"/>
        <v>82.1475129495154</v>
      </c>
      <c r="G158" s="6">
        <f t="shared" si="17"/>
        <v>52.91640757146035</v>
      </c>
      <c r="H158" s="48">
        <f>B158-D158</f>
        <v>14406.600000000064</v>
      </c>
      <c r="I158" s="57">
        <f t="shared" si="18"/>
        <v>58984.30000000005</v>
      </c>
    </row>
    <row r="159" spans="1:9" ht="18.75">
      <c r="A159" s="15" t="s">
        <v>1</v>
      </c>
      <c r="B159" s="135">
        <f>B22+B10+B55+B49+B62+B35+B126</f>
        <v>36349.600000000006</v>
      </c>
      <c r="C159" s="135">
        <f>C22+C10+C55+C49+C62+C35+C126</f>
        <v>48026.600000000006</v>
      </c>
      <c r="D159" s="135">
        <f>D22+D10+D55+D49+D62+D35+D126</f>
        <v>31623.600000000006</v>
      </c>
      <c r="E159" s="6">
        <f>D159/D156*100</f>
        <v>1.8672063672174715</v>
      </c>
      <c r="F159" s="6">
        <f t="shared" si="19"/>
        <v>86.99848141382573</v>
      </c>
      <c r="G159" s="6">
        <f t="shared" si="17"/>
        <v>65.84601033593884</v>
      </c>
      <c r="H159" s="48">
        <f t="shared" si="20"/>
        <v>4726</v>
      </c>
      <c r="I159" s="57">
        <f t="shared" si="18"/>
        <v>16403</v>
      </c>
    </row>
    <row r="160" spans="1:9" ht="21" customHeight="1">
      <c r="A160" s="15" t="s">
        <v>12</v>
      </c>
      <c r="B160" s="135">
        <f>B12+B24+B106+B64+B38+B95+B133+B57+B140+B120+B44+B73</f>
        <v>66331.7</v>
      </c>
      <c r="C160" s="135">
        <f>C12+C24+C106+C64+C38+C95+C133+C57+C140+C120+C44+C73</f>
        <v>87271.40000000002</v>
      </c>
      <c r="D160" s="135">
        <f>D12+D24+D106+D64+D38+D95+D133+D57+D140+D120+D44+D73</f>
        <v>56490.460000000014</v>
      </c>
      <c r="E160" s="6">
        <f>D160/D156*100</f>
        <v>3.335462964338149</v>
      </c>
      <c r="F160" s="6">
        <f>D160/B160*100</f>
        <v>85.16359448046713</v>
      </c>
      <c r="G160" s="6">
        <f t="shared" si="17"/>
        <v>64.72963651322196</v>
      </c>
      <c r="H160" s="48">
        <f>B160-D160</f>
        <v>9841.239999999983</v>
      </c>
      <c r="I160" s="57">
        <f t="shared" si="18"/>
        <v>30780.94000000001</v>
      </c>
    </row>
    <row r="161" spans="1:9" ht="18.75">
      <c r="A161" s="15" t="s">
        <v>2</v>
      </c>
      <c r="B161" s="47">
        <f>B9+B21+B48+B54+B125</f>
        <v>81.10000000000001</v>
      </c>
      <c r="C161" s="47">
        <f>C9+C21+C48+C54+C125</f>
        <v>122.9</v>
      </c>
      <c r="D161" s="47">
        <f>D9+D21+D48+D54+D125</f>
        <v>48.79999999999999</v>
      </c>
      <c r="E161" s="6">
        <f>D161/D156*100</f>
        <v>0.0028813819653743587</v>
      </c>
      <c r="F161" s="6">
        <f t="shared" si="19"/>
        <v>60.17262638717631</v>
      </c>
      <c r="G161" s="6">
        <f t="shared" si="17"/>
        <v>39.707078925956054</v>
      </c>
      <c r="H161" s="48">
        <f t="shared" si="20"/>
        <v>32.30000000000002</v>
      </c>
      <c r="I161" s="57">
        <f t="shared" si="18"/>
        <v>74.10000000000002</v>
      </c>
    </row>
    <row r="162" spans="1:9" ht="19.5" thickBot="1">
      <c r="A162" s="79" t="s">
        <v>25</v>
      </c>
      <c r="B162" s="59">
        <f>B156-B157-B158-B159-B160-B161</f>
        <v>909756.3000000003</v>
      </c>
      <c r="C162" s="59">
        <f>C156-C157-C158-C159-C160-C161</f>
        <v>1250515</v>
      </c>
      <c r="D162" s="59">
        <f>D156-D157-D158-D159-D160-D161</f>
        <v>847855.5967900003</v>
      </c>
      <c r="E162" s="28">
        <f>D162/D156*100</f>
        <v>50.06138987361519</v>
      </c>
      <c r="F162" s="28">
        <f t="shared" si="19"/>
        <v>93.19590276978572</v>
      </c>
      <c r="G162" s="28">
        <f t="shared" si="17"/>
        <v>67.80051393146026</v>
      </c>
      <c r="H162" s="80">
        <f t="shared" si="20"/>
        <v>61900.70320999995</v>
      </c>
      <c r="I162" s="80">
        <f t="shared" si="18"/>
        <v>402659.40320999967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1693631.7567900002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1693631.7567900002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2019-09-02T05:24:58Z</cp:lastPrinted>
  <dcterms:created xsi:type="dcterms:W3CDTF">2000-06-20T04:48:00Z</dcterms:created>
  <dcterms:modified xsi:type="dcterms:W3CDTF">2019-09-24T12:53:37Z</dcterms:modified>
  <cp:category/>
  <cp:version/>
  <cp:contentType/>
  <cp:contentStatus/>
</cp:coreProperties>
</file>